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25" firstSheet="1" activeTab="1"/>
  </bookViews>
  <sheets>
    <sheet name="Sheet1" sheetId="1" state="hidden" r:id="rId1"/>
    <sheet name="Sheet_1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<sst xmlns="http://schemas.openxmlformats.org/spreadsheetml/2006/main" count="144" uniqueCount="72">
  <si>
    <t>THE VALUES</t>
  </si>
  <si>
    <t>m</t>
  </si>
  <si>
    <t>SBP</t>
  </si>
  <si>
    <t>HDL</t>
  </si>
  <si>
    <t>RISK FACTORS</t>
  </si>
  <si>
    <t>NOTES</t>
  </si>
  <si>
    <t>PLEASE ENTER</t>
  </si>
  <si>
    <t>WITH BMI</t>
  </si>
  <si>
    <t>WITHOUT BMI</t>
  </si>
  <si>
    <t>SEX</t>
  </si>
  <si>
    <t>AGE</t>
  </si>
  <si>
    <t>SMOKE</t>
  </si>
  <si>
    <t>TRTBP</t>
  </si>
  <si>
    <t>BMI</t>
  </si>
  <si>
    <t>DIAB</t>
  </si>
  <si>
    <t>TCL</t>
  </si>
  <si>
    <t>M Values</t>
  </si>
  <si>
    <t>Coeff. Male No TRT</t>
  </si>
  <si>
    <t>Coeff. Male TRT</t>
  </si>
  <si>
    <t>Coeff. Female No TRT</t>
  </si>
  <si>
    <t>Coeff. Female TRT</t>
  </si>
  <si>
    <r>
      <t>Σβ</t>
    </r>
    <r>
      <rPr>
        <b/>
        <sz val="11"/>
        <rFont val="Arial"/>
        <family val="2"/>
      </rPr>
      <t>x</t>
    </r>
  </si>
  <si>
    <t>Risk Score</t>
  </si>
  <si>
    <t>No TRT Male</t>
  </si>
  <si>
    <t>No TRT Female</t>
  </si>
  <si>
    <t>OPTIMAL RISK</t>
  </si>
  <si>
    <t>NORMAL RISK</t>
  </si>
  <si>
    <t>CVD NO BMI</t>
  </si>
  <si>
    <t>UNITS</t>
  </si>
  <si>
    <t>mmHg</t>
  </si>
  <si>
    <t>years</t>
  </si>
  <si>
    <t>mg/dL</t>
  </si>
  <si>
    <t>y/n</t>
  </si>
  <si>
    <t>m/f</t>
  </si>
  <si>
    <t>Your Risk Score</t>
  </si>
  <si>
    <t>Normal</t>
  </si>
  <si>
    <t>Optimal</t>
  </si>
  <si>
    <t>NORMAL</t>
  </si>
  <si>
    <t>OPTIMAL</t>
  </si>
  <si>
    <t>n</t>
  </si>
  <si>
    <t>Values</t>
  </si>
  <si>
    <t>f</t>
  </si>
  <si>
    <t>kg/m²</t>
  </si>
  <si>
    <t>From The Framingham Heart Study</t>
  </si>
  <si>
    <t>Enter Values Here</t>
  </si>
  <si>
    <t xml:space="preserve"> </t>
  </si>
  <si>
    <t>Risk Factor</t>
  </si>
  <si>
    <t>Units</t>
  </si>
  <si>
    <t xml:space="preserve"> (Type Over Placeholder Values in Each Cell)</t>
  </si>
  <si>
    <t>Notes</t>
  </si>
  <si>
    <t>Sex</t>
  </si>
  <si>
    <t>male (m) or female (f)</t>
  </si>
  <si>
    <t>Age</t>
  </si>
  <si>
    <t>Systolic Blood Pressure</t>
  </si>
  <si>
    <t>Treatment for Hypertension</t>
  </si>
  <si>
    <t>yes (y) or no (n)</t>
  </si>
  <si>
    <r>
      <t>Your 10-Year Risk</t>
    </r>
    <r>
      <rPr>
        <sz val="10"/>
        <rFont val="Arial"/>
        <family val="0"/>
      </rPr>
      <t xml:space="preserve"> 
(The risk score shown is derived on the basis of an equation.  Other print products, use a point-based system to calculate a risk score that approximates the equation-based one.)</t>
    </r>
  </si>
  <si>
    <t>If value is &lt; the minimum for the field, enter the minimum value.  If value is &gt; the maximum for the field, enter the maximum value.</t>
  </si>
  <si>
    <t>Smoking</t>
  </si>
  <si>
    <t>Diabetes</t>
  </si>
  <si>
    <t>Total Cholesterol</t>
  </si>
  <si>
    <t>General CVD Risk Prediction</t>
  </si>
  <si>
    <t>Calculator prepared by R.B. D’Agostino and M.J. Pencina based on a publication by D’Agostino et al. in Circulation</t>
  </si>
  <si>
    <t>Const</t>
  </si>
  <si>
    <t>Consti</t>
  </si>
  <si>
    <t>Expo</t>
  </si>
  <si>
    <t>Term</t>
  </si>
  <si>
    <t>Heart Age</t>
  </si>
  <si>
    <t>Consti_num</t>
  </si>
  <si>
    <t>Consti_denom</t>
  </si>
  <si>
    <t>Your Heart Age</t>
  </si>
  <si>
    <t xml:space="preserve">Your Heart/Vascular Age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</si>
</sst>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  <family val="2"/>
    </font>
    <font>
      <sz val="10"/>
      <color indexed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8"/>
      <color indexed="8"/>
      <name val="Arial"/>
      <family val="0"/>
    </font>
    <font>
      <sz val="6.75"/>
      <color indexed="8"/>
      <name val="Arial"/>
      <family val="0"/>
    </font>
    <font>
      <b/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3" borderId="0" xfId="0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/>
      <protection hidden="1"/>
    </xf>
    <xf numFmtId="0" fontId="4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9" fontId="3" fillId="34" borderId="10" xfId="59" applyFont="1" applyFill="1" applyBorder="1" applyAlignment="1">
      <alignment horizontal="center"/>
    </xf>
    <xf numFmtId="9" fontId="3" fillId="33" borderId="0" xfId="59" applyFont="1" applyFill="1" applyBorder="1" applyAlignment="1">
      <alignment horizontal="center"/>
    </xf>
    <xf numFmtId="9" fontId="3" fillId="36" borderId="10" xfId="59" applyFont="1" applyFill="1" applyBorder="1" applyAlignment="1">
      <alignment horizontal="center"/>
    </xf>
    <xf numFmtId="9" fontId="3" fillId="35" borderId="10" xfId="59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9" fillId="33" borderId="0" xfId="0" applyFont="1" applyFill="1" applyAlignment="1">
      <alignment/>
    </xf>
    <xf numFmtId="0" fontId="4" fillId="0" borderId="0" xfId="0" applyFont="1" applyAlignment="1">
      <alignment/>
    </xf>
    <xf numFmtId="0" fontId="1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21" xfId="0" applyFont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10" xfId="0" applyFont="1" applyBorder="1" applyAlignment="1">
      <alignment/>
    </xf>
    <xf numFmtId="0" fontId="3" fillId="36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9" fontId="3" fillId="34" borderId="21" xfId="59" applyFont="1" applyFill="1" applyBorder="1" applyAlignment="1">
      <alignment horizontal="center"/>
    </xf>
    <xf numFmtId="9" fontId="3" fillId="36" borderId="21" xfId="59" applyFont="1" applyFill="1" applyBorder="1" applyAlignment="1">
      <alignment horizontal="center"/>
    </xf>
    <xf numFmtId="9" fontId="3" fillId="35" borderId="21" xfId="59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6" fillId="0" borderId="13" xfId="0" applyFont="1" applyBorder="1" applyAlignment="1" applyProtection="1">
      <alignment horizontal="center"/>
      <protection hidden="1"/>
    </xf>
    <xf numFmtId="0" fontId="6" fillId="0" borderId="24" xfId="0" applyFont="1" applyBorder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center"/>
      <protection hidden="1"/>
    </xf>
    <xf numFmtId="0" fontId="6" fillId="0" borderId="1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2" fillId="37" borderId="25" xfId="0" applyFont="1" applyFill="1" applyBorder="1" applyAlignment="1" applyProtection="1">
      <alignment/>
      <protection/>
    </xf>
    <xf numFmtId="0" fontId="12" fillId="37" borderId="26" xfId="0" applyFont="1" applyFill="1" applyBorder="1" applyAlignment="1" applyProtection="1">
      <alignment horizontal="center"/>
      <protection/>
    </xf>
    <xf numFmtId="0" fontId="13" fillId="37" borderId="26" xfId="0" applyFont="1" applyFill="1" applyBorder="1" applyAlignment="1" applyProtection="1">
      <alignment horizontal="center"/>
      <protection/>
    </xf>
    <xf numFmtId="0" fontId="0" fillId="37" borderId="26" xfId="0" applyFill="1" applyBorder="1" applyAlignment="1" applyProtection="1">
      <alignment horizontal="center"/>
      <protection/>
    </xf>
    <xf numFmtId="0" fontId="12" fillId="38" borderId="27" xfId="0" applyFont="1" applyFill="1" applyBorder="1" applyAlignment="1" applyProtection="1">
      <alignment wrapText="1"/>
      <protection/>
    </xf>
    <xf numFmtId="0" fontId="12" fillId="39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2" fillId="38" borderId="28" xfId="0" applyFont="1" applyFill="1" applyBorder="1" applyAlignment="1" applyProtection="1">
      <alignment/>
      <protection/>
    </xf>
    <xf numFmtId="0" fontId="0" fillId="39" borderId="0" xfId="0" applyFill="1" applyBorder="1" applyAlignment="1" applyProtection="1">
      <alignment horizontal="center"/>
      <protection/>
    </xf>
    <xf numFmtId="0" fontId="12" fillId="39" borderId="0" xfId="0" applyFont="1" applyFill="1" applyBorder="1" applyAlignment="1" applyProtection="1">
      <alignment horizontal="center" wrapText="1"/>
      <protection/>
    </xf>
    <xf numFmtId="0" fontId="13" fillId="38" borderId="29" xfId="0" applyFont="1" applyFill="1" applyBorder="1" applyAlignment="1" applyProtection="1">
      <alignment wrapText="1"/>
      <protection/>
    </xf>
    <xf numFmtId="0" fontId="13" fillId="0" borderId="30" xfId="0" applyFont="1" applyBorder="1" applyAlignment="1" applyProtection="1">
      <alignment horizontal="center" wrapText="1"/>
      <protection/>
    </xf>
    <xf numFmtId="0" fontId="13" fillId="0" borderId="31" xfId="0" applyFont="1" applyBorder="1" applyAlignment="1" applyProtection="1">
      <alignment horizontal="center" wrapText="1"/>
      <protection/>
    </xf>
    <xf numFmtId="0" fontId="0" fillId="0" borderId="32" xfId="0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14" fillId="0" borderId="33" xfId="0" applyFont="1" applyBorder="1" applyAlignment="1" applyProtection="1">
      <alignment horizontal="center"/>
      <protection/>
    </xf>
    <xf numFmtId="0" fontId="0" fillId="0" borderId="32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/>
    </xf>
    <xf numFmtId="0" fontId="0" fillId="0" borderId="32" xfId="0" applyFill="1" applyBorder="1" applyAlignment="1" applyProtection="1">
      <alignment/>
      <protection/>
    </xf>
    <xf numFmtId="0" fontId="55" fillId="0" borderId="0" xfId="0" applyFont="1" applyAlignment="1">
      <alignment/>
    </xf>
    <xf numFmtId="2" fontId="15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 horizontal="center" vertical="center"/>
    </xf>
    <xf numFmtId="0" fontId="16" fillId="0" borderId="34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4" fillId="0" borderId="35" xfId="0" applyFont="1" applyFill="1" applyBorder="1" applyAlignment="1" applyProtection="1">
      <alignment horizontal="center" wrapText="1"/>
      <protection/>
    </xf>
    <xf numFmtId="2" fontId="15" fillId="0" borderId="36" xfId="0" applyNumberFormat="1" applyFont="1" applyFill="1" applyBorder="1" applyAlignment="1" applyProtection="1">
      <alignment horizontal="center"/>
      <protection/>
    </xf>
    <xf numFmtId="165" fontId="0" fillId="0" borderId="36" xfId="0" applyNumberForma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65"/>
          <c:w val="0.78475"/>
          <c:h val="0.86925"/>
        </c:manualLayout>
      </c:layout>
      <c:barChart>
        <c:barDir val="bar"/>
        <c:grouping val="clustered"/>
        <c:varyColors val="0"/>
        <c:ser>
          <c:idx val="2"/>
          <c:order val="0"/>
          <c:tx>
            <c:v>NORMAL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Sheet2!$D$33</c:f>
              <c:numCache>
                <c:ptCount val="1"/>
                <c:pt idx="0">
                  <c:v>0.01309508819972538</c:v>
                </c:pt>
              </c:numCache>
            </c:numRef>
          </c:val>
        </c:ser>
        <c:ser>
          <c:idx val="1"/>
          <c:order val="1"/>
          <c:tx>
            <c:v>OPTIMAL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Sheet2!$D$32</c:f>
              <c:numCache>
                <c:ptCount val="1"/>
                <c:pt idx="0">
                  <c:v>0.00652961506881089</c:v>
                </c:pt>
              </c:numCache>
            </c:numRef>
          </c:val>
        </c:ser>
        <c:ser>
          <c:idx val="0"/>
          <c:order val="2"/>
          <c:tx>
            <c:v>YOUR RISK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Sheet2!$D$31</c:f>
              <c:numCache>
                <c:ptCount val="1"/>
                <c:pt idx="0">
                  <c:v>0.01309508819972538</c:v>
                </c:pt>
              </c:numCache>
            </c:numRef>
          </c:val>
        </c:ser>
        <c:axId val="24833166"/>
        <c:axId val="22171903"/>
      </c:barChart>
      <c:catAx>
        <c:axId val="248331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2171903"/>
        <c:crosses val="autoZero"/>
        <c:auto val="1"/>
        <c:lblOffset val="100"/>
        <c:tickLblSkip val="1"/>
        <c:noMultiLvlLbl val="0"/>
      </c:catAx>
      <c:valAx>
        <c:axId val="2217190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33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31"/>
          <c:y val="0.2785"/>
          <c:w val="0.1255"/>
          <c:h val="0.3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0.4975</cdr:x>
      <cdr:y>0.498</cdr:y>
    </cdr:from>
    <cdr:to>
      <cdr:x>0.5845</cdr:x>
      <cdr:y>0.60625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867025" y="790575"/>
          <a:ext cx="5048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1</xdr:row>
      <xdr:rowOff>0</xdr:rowOff>
    </xdr:from>
    <xdr:to>
      <xdr:col>2</xdr:col>
      <xdr:colOff>933450</xdr:colOff>
      <xdr:row>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619625" y="200025"/>
          <a:ext cx="419100" cy="333375"/>
        </a:xfrm>
        <a:prstGeom prst="downArrow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9525</xdr:rowOff>
    </xdr:from>
    <xdr:to>
      <xdr:col>3</xdr:col>
      <xdr:colOff>0</xdr:colOff>
      <xdr:row>27</xdr:row>
      <xdr:rowOff>142875</xdr:rowOff>
    </xdr:to>
    <xdr:graphicFrame>
      <xdr:nvGraphicFramePr>
        <xdr:cNvPr id="2" name="Chart 2"/>
        <xdr:cNvGraphicFramePr/>
      </xdr:nvGraphicFramePr>
      <xdr:xfrm>
        <a:off x="9525" y="4000500"/>
        <a:ext cx="5781675" cy="159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2.28125" style="0" customWidth="1"/>
    <col min="2" max="2" width="17.7109375" style="0" customWidth="1"/>
    <col min="3" max="3" width="12.421875" style="0" customWidth="1"/>
    <col min="4" max="4" width="17.00390625" style="0" customWidth="1"/>
    <col min="5" max="5" width="19.421875" style="0" customWidth="1"/>
    <col min="6" max="6" width="2.8515625" style="0" customWidth="1"/>
    <col min="7" max="7" width="17.7109375" style="0" customWidth="1"/>
    <col min="8" max="8" width="12.421875" style="0" customWidth="1"/>
    <col min="9" max="9" width="15.7109375" style="0" customWidth="1"/>
    <col min="10" max="10" width="20.57421875" style="0" customWidth="1"/>
  </cols>
  <sheetData>
    <row r="1" spans="1:12" ht="15">
      <c r="A1" s="1"/>
      <c r="B1" s="1"/>
      <c r="C1" s="1"/>
      <c r="D1" s="2" t="s">
        <v>8</v>
      </c>
      <c r="E1" s="1"/>
      <c r="F1" s="1"/>
      <c r="G1" s="1"/>
      <c r="H1" s="1"/>
      <c r="I1" s="2" t="s">
        <v>7</v>
      </c>
      <c r="J1" s="1"/>
      <c r="K1" s="1"/>
      <c r="L1" s="1"/>
    </row>
    <row r="2" spans="1:12" ht="12.75">
      <c r="A2" s="1"/>
      <c r="B2" s="1"/>
      <c r="C2" s="1"/>
      <c r="D2" s="3"/>
      <c r="E2" s="1"/>
      <c r="F2" s="1"/>
      <c r="G2" s="1"/>
      <c r="H2" s="1"/>
      <c r="I2" s="3"/>
      <c r="J2" s="1"/>
      <c r="K2" s="1"/>
      <c r="L2" s="1"/>
    </row>
    <row r="3" spans="1:12" ht="12.75">
      <c r="A3" s="1"/>
      <c r="B3" s="4"/>
      <c r="C3" s="5"/>
      <c r="D3" s="5" t="s">
        <v>6</v>
      </c>
      <c r="E3" s="6"/>
      <c r="F3" s="7"/>
      <c r="G3" s="4"/>
      <c r="H3" s="5"/>
      <c r="I3" s="5" t="s">
        <v>6</v>
      </c>
      <c r="J3" s="6"/>
      <c r="K3" s="1"/>
      <c r="L3" s="1"/>
    </row>
    <row r="4" spans="1:12" ht="12.75">
      <c r="A4" s="1"/>
      <c r="B4" s="8" t="s">
        <v>4</v>
      </c>
      <c r="C4" s="9" t="s">
        <v>28</v>
      </c>
      <c r="D4" s="9" t="s">
        <v>0</v>
      </c>
      <c r="E4" s="10" t="s">
        <v>5</v>
      </c>
      <c r="F4" s="11"/>
      <c r="G4" s="8" t="s">
        <v>4</v>
      </c>
      <c r="H4" s="9" t="s">
        <v>28</v>
      </c>
      <c r="I4" s="9" t="s">
        <v>0</v>
      </c>
      <c r="J4" s="10" t="s">
        <v>5</v>
      </c>
      <c r="K4" s="1"/>
      <c r="L4" s="1"/>
    </row>
    <row r="5" spans="1:12" ht="12.75">
      <c r="A5" s="1"/>
      <c r="B5" s="12" t="s">
        <v>9</v>
      </c>
      <c r="C5" s="13" t="s">
        <v>33</v>
      </c>
      <c r="D5" s="14" t="s">
        <v>41</v>
      </c>
      <c r="E5" s="58">
        <f>IF(D5="m","",IF(D5="f","","ERROR"))</f>
      </c>
      <c r="F5" s="15"/>
      <c r="G5" s="12" t="s">
        <v>9</v>
      </c>
      <c r="H5" s="13" t="s">
        <v>33</v>
      </c>
      <c r="I5" s="14" t="s">
        <v>1</v>
      </c>
      <c r="J5" s="61">
        <f>IF(I5="m","",IF(I5="f","","ERROR"))</f>
      </c>
      <c r="K5" s="1"/>
      <c r="L5" s="1"/>
    </row>
    <row r="6" spans="1:12" ht="12.75">
      <c r="A6" s="1"/>
      <c r="B6" s="16" t="s">
        <v>10</v>
      </c>
      <c r="C6" s="17" t="s">
        <v>30</v>
      </c>
      <c r="D6" s="18">
        <v>35</v>
      </c>
      <c r="E6" s="59" t="str">
        <f>IF(OR(D6&lt;25,D6&gt;80),"ERROR"," ")</f>
        <v> </v>
      </c>
      <c r="F6" s="15"/>
      <c r="G6" s="16" t="s">
        <v>10</v>
      </c>
      <c r="H6" s="17" t="s">
        <v>30</v>
      </c>
      <c r="I6" s="18">
        <v>34</v>
      </c>
      <c r="J6" s="62" t="str">
        <f>IF(OR(I6&lt;25,I6&gt;80),"ERROR"," ")</f>
        <v> </v>
      </c>
      <c r="K6" s="1"/>
      <c r="L6" s="1"/>
    </row>
    <row r="7" spans="1:12" ht="12.75">
      <c r="A7" s="1"/>
      <c r="B7" s="16" t="s">
        <v>2</v>
      </c>
      <c r="C7" s="17" t="s">
        <v>29</v>
      </c>
      <c r="D7" s="18">
        <v>140</v>
      </c>
      <c r="E7" s="59" t="str">
        <f>IF(OR(D7&lt;78,D7&gt;240),"ERROR"," ")</f>
        <v> </v>
      </c>
      <c r="F7" s="15"/>
      <c r="G7" s="16" t="s">
        <v>2</v>
      </c>
      <c r="H7" s="17" t="s">
        <v>29</v>
      </c>
      <c r="I7" s="18">
        <v>130</v>
      </c>
      <c r="J7" s="62" t="str">
        <f>IF(OR(I7&lt;78,I7&gt;240),"ERROR"," ")</f>
        <v> </v>
      </c>
      <c r="K7" s="1"/>
      <c r="L7" s="1"/>
    </row>
    <row r="8" spans="1:12" ht="12.75">
      <c r="A8" s="1"/>
      <c r="B8" s="16" t="s">
        <v>12</v>
      </c>
      <c r="C8" s="17" t="s">
        <v>32</v>
      </c>
      <c r="D8" s="18" t="s">
        <v>39</v>
      </c>
      <c r="E8" s="59">
        <f>IF(OR(D8="n",D8="y"),"","ERROR")</f>
      </c>
      <c r="F8" s="15"/>
      <c r="G8" s="16" t="s">
        <v>12</v>
      </c>
      <c r="H8" s="17" t="s">
        <v>32</v>
      </c>
      <c r="I8" s="18" t="s">
        <v>39</v>
      </c>
      <c r="J8" s="62">
        <f>IF(OR(I8="n",I8="y"),"","ERROR")</f>
      </c>
      <c r="K8" s="1"/>
      <c r="L8" s="1"/>
    </row>
    <row r="9" spans="1:12" ht="12.75">
      <c r="A9" s="1"/>
      <c r="B9" s="16" t="s">
        <v>11</v>
      </c>
      <c r="C9" s="17" t="s">
        <v>32</v>
      </c>
      <c r="D9" s="18" t="s">
        <v>39</v>
      </c>
      <c r="E9" s="59">
        <f>IF(OR(D9="n",D9="y"),"","ERROR")</f>
      </c>
      <c r="F9" s="15"/>
      <c r="G9" s="16" t="s">
        <v>11</v>
      </c>
      <c r="H9" s="17" t="s">
        <v>32</v>
      </c>
      <c r="I9" s="18" t="s">
        <v>39</v>
      </c>
      <c r="J9" s="62">
        <f>IF(OR(I9="n",I9="y"),"","ERROR")</f>
      </c>
      <c r="K9" s="1"/>
      <c r="L9" s="1"/>
    </row>
    <row r="10" spans="1:12" ht="12.75">
      <c r="A10" s="1"/>
      <c r="B10" s="16" t="s">
        <v>14</v>
      </c>
      <c r="C10" s="17" t="s">
        <v>32</v>
      </c>
      <c r="D10" s="18" t="s">
        <v>39</v>
      </c>
      <c r="E10" s="59">
        <f>IF(OR(D10="n",D10="y"),"","ERROR")</f>
      </c>
      <c r="F10" s="15"/>
      <c r="G10" s="16" t="s">
        <v>14</v>
      </c>
      <c r="H10" s="17" t="s">
        <v>32</v>
      </c>
      <c r="I10" s="18" t="s">
        <v>39</v>
      </c>
      <c r="J10" s="62">
        <f>IF(OR(I10="n",I10="y"),"","ERROR")</f>
      </c>
      <c r="K10" s="1"/>
      <c r="L10" s="1"/>
    </row>
    <row r="11" spans="1:12" ht="12.75">
      <c r="A11" s="1"/>
      <c r="B11" s="16" t="s">
        <v>15</v>
      </c>
      <c r="C11" s="17" t="s">
        <v>31</v>
      </c>
      <c r="D11" s="18">
        <v>180</v>
      </c>
      <c r="E11" s="59">
        <f>IF(OR(D11&lt;100,D11&gt;405),"ERROR","")</f>
      </c>
      <c r="F11" s="15"/>
      <c r="G11" s="19" t="s">
        <v>13</v>
      </c>
      <c r="H11" s="20" t="s">
        <v>42</v>
      </c>
      <c r="I11" s="21">
        <v>23</v>
      </c>
      <c r="J11" s="63">
        <f>IF(OR(I11&lt;15,I11&gt;50),"ERROR","")</f>
      </c>
      <c r="K11" s="1"/>
      <c r="L11" s="1"/>
    </row>
    <row r="12" spans="1:12" ht="12.75">
      <c r="A12" s="1"/>
      <c r="B12" s="19" t="s">
        <v>3</v>
      </c>
      <c r="C12" s="20" t="s">
        <v>31</v>
      </c>
      <c r="D12" s="21">
        <v>75</v>
      </c>
      <c r="E12" s="60">
        <f>IF(OR(D12&lt;10,D12&gt;100),"ERROR","")</f>
      </c>
      <c r="F12" s="15"/>
      <c r="G12" s="1"/>
      <c r="H12" s="1"/>
      <c r="I12" s="1"/>
      <c r="J12" s="1"/>
      <c r="K12" s="1"/>
      <c r="L12" s="1"/>
    </row>
    <row r="13" spans="1:12" ht="12.75">
      <c r="A13" s="1"/>
      <c r="B13" s="1"/>
      <c r="C13" s="1"/>
      <c r="D13" s="1"/>
      <c r="E13" s="1"/>
      <c r="F13" s="7"/>
      <c r="G13" s="1"/>
      <c r="H13" s="1"/>
      <c r="I13" s="1"/>
      <c r="J13" s="1"/>
      <c r="K13" s="1"/>
      <c r="L13" s="1"/>
    </row>
    <row r="14" spans="1:12" ht="12.75">
      <c r="A14" s="1"/>
      <c r="B14" s="1"/>
      <c r="C14" s="1"/>
      <c r="D14" s="1"/>
      <c r="E14" s="1"/>
      <c r="F14" s="7"/>
      <c r="G14" s="1"/>
      <c r="H14" s="1"/>
      <c r="I14" s="1"/>
      <c r="J14" s="1"/>
      <c r="K14" s="1"/>
      <c r="L14" s="1"/>
    </row>
    <row r="15" spans="1:12" ht="12.75">
      <c r="A15" s="1"/>
      <c r="B15" s="7"/>
      <c r="C15" s="7"/>
      <c r="D15" s="22"/>
      <c r="E15" s="1"/>
      <c r="F15" s="7"/>
      <c r="G15" s="7"/>
      <c r="H15" s="7"/>
      <c r="I15" s="22"/>
      <c r="J15" s="1"/>
      <c r="K15" s="1"/>
      <c r="L15" s="1"/>
    </row>
    <row r="16" spans="1:12" ht="18.75" customHeight="1">
      <c r="A16" s="1"/>
      <c r="B16" s="2" t="s">
        <v>34</v>
      </c>
      <c r="C16" s="51">
        <f>Sheet2!D31</f>
        <v>0.01309508819972538</v>
      </c>
      <c r="D16" s="54"/>
      <c r="E16" s="24"/>
      <c r="F16" s="24"/>
      <c r="G16" s="2" t="s">
        <v>34</v>
      </c>
      <c r="H16" s="23">
        <f>Sheet2!H31</f>
        <v>0</v>
      </c>
      <c r="I16" s="11"/>
      <c r="J16" s="24"/>
      <c r="K16" s="7"/>
      <c r="L16" s="1"/>
    </row>
    <row r="17" spans="1:12" ht="18.75" customHeight="1">
      <c r="A17" s="1"/>
      <c r="B17" s="49" t="s">
        <v>36</v>
      </c>
      <c r="C17" s="52">
        <f>Sheet2!D32</f>
        <v>0.00652961506881089</v>
      </c>
      <c r="D17" s="54"/>
      <c r="E17" s="24"/>
      <c r="F17" s="24"/>
      <c r="G17" s="49" t="s">
        <v>36</v>
      </c>
      <c r="H17" s="25">
        <f>Sheet2!H32</f>
        <v>0</v>
      </c>
      <c r="I17" s="11"/>
      <c r="J17" s="24"/>
      <c r="K17" s="7"/>
      <c r="L17" s="1"/>
    </row>
    <row r="18" spans="1:12" ht="18.75" customHeight="1">
      <c r="A18" s="1"/>
      <c r="B18" s="50" t="s">
        <v>35</v>
      </c>
      <c r="C18" s="53">
        <f>Sheet2!D33</f>
        <v>0.01309508819972538</v>
      </c>
      <c r="D18" s="54"/>
      <c r="E18" s="24"/>
      <c r="F18" s="24"/>
      <c r="G18" s="50" t="s">
        <v>35</v>
      </c>
      <c r="H18" s="26">
        <f>Sheet2!H33</f>
        <v>0</v>
      </c>
      <c r="I18" s="11"/>
      <c r="J18" s="24"/>
      <c r="K18" s="7"/>
      <c r="L18" s="1"/>
    </row>
    <row r="19" spans="1:12" ht="15.75">
      <c r="A19" s="1"/>
      <c r="B19" s="27"/>
      <c r="C19" s="28"/>
      <c r="D19" s="7"/>
      <c r="E19" s="29"/>
      <c r="F19" s="29"/>
      <c r="G19" s="27"/>
      <c r="H19" s="7"/>
      <c r="I19" s="1"/>
      <c r="J19" s="30"/>
      <c r="K19" s="1"/>
      <c r="L19" s="1"/>
    </row>
    <row r="20" spans="1:12" ht="12.75">
      <c r="A20" s="1"/>
      <c r="B20" s="1"/>
      <c r="C20" s="1"/>
      <c r="D20" s="1"/>
      <c r="E20" s="1"/>
      <c r="F20" s="1"/>
      <c r="G20" s="7"/>
      <c r="H20" s="7"/>
      <c r="I20" s="7"/>
      <c r="J20" s="7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sheetProtection selectLockedCell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39.57421875" style="0" customWidth="1"/>
    <col min="2" max="2" width="22.00390625" style="0" customWidth="1"/>
    <col min="3" max="3" width="25.28125" style="0" customWidth="1"/>
    <col min="4" max="4" width="41.00390625" style="0" customWidth="1"/>
  </cols>
  <sheetData>
    <row r="1" spans="1:4" ht="15.75">
      <c r="A1" s="64" t="s">
        <v>43</v>
      </c>
      <c r="B1" s="65"/>
      <c r="C1" s="66" t="s">
        <v>44</v>
      </c>
      <c r="D1" s="67"/>
    </row>
    <row r="2" spans="1:4" ht="15.75">
      <c r="A2" s="68" t="s">
        <v>61</v>
      </c>
      <c r="B2" s="69"/>
      <c r="C2" s="99"/>
      <c r="D2" s="69" t="s">
        <v>45</v>
      </c>
    </row>
    <row r="3" spans="1:4" ht="16.5" thickBot="1">
      <c r="A3" s="71" t="s">
        <v>45</v>
      </c>
      <c r="B3" s="72"/>
      <c r="C3" s="99"/>
      <c r="D3" s="73" t="s">
        <v>45</v>
      </c>
    </row>
    <row r="4" spans="1:4" ht="33" customHeight="1">
      <c r="A4" s="74" t="s">
        <v>46</v>
      </c>
      <c r="B4" s="75" t="s">
        <v>47</v>
      </c>
      <c r="C4" s="75" t="s">
        <v>48</v>
      </c>
      <c r="D4" s="76" t="s">
        <v>49</v>
      </c>
    </row>
    <row r="5" spans="1:4" ht="15" customHeight="1">
      <c r="A5" s="77" t="s">
        <v>50</v>
      </c>
      <c r="B5" s="78" t="s">
        <v>51</v>
      </c>
      <c r="C5" s="92" t="s">
        <v>41</v>
      </c>
      <c r="D5" s="79" t="str">
        <f>IF(C5="m"," ",IF(C5="f"," ",IF(C5="male"," ",IF(C5="female"," ","ERROR - Enter 'm' or 'male' for male,' f ' or 'female' for female!"))))</f>
        <v> </v>
      </c>
    </row>
    <row r="6" spans="1:4" ht="12.75">
      <c r="A6" s="80" t="s">
        <v>52</v>
      </c>
      <c r="B6" s="81" t="s">
        <v>30</v>
      </c>
      <c r="C6" s="82">
        <v>30</v>
      </c>
      <c r="D6" s="79" t="str">
        <f>IF(C6&lt;30,"Enter a Value Between 30-74",IF(C6&gt;74,"Enter A Value Between 30-74"," "))</f>
        <v> </v>
      </c>
    </row>
    <row r="7" spans="1:4" ht="12.75">
      <c r="A7" s="80" t="s">
        <v>53</v>
      </c>
      <c r="B7" s="70" t="s">
        <v>29</v>
      </c>
      <c r="C7" s="83">
        <v>125</v>
      </c>
      <c r="D7" s="79" t="str">
        <f>IF(C7&lt;90,"Enter a Value Between 90-200",IF(C7&gt;200,"Enter A Value Between 90-200"," "))</f>
        <v> </v>
      </c>
    </row>
    <row r="8" spans="1:4" ht="12.75">
      <c r="A8" s="80" t="s">
        <v>54</v>
      </c>
      <c r="B8" s="70" t="s">
        <v>55</v>
      </c>
      <c r="C8" s="93" t="s">
        <v>39</v>
      </c>
      <c r="D8" s="79" t="str">
        <f>IF(C8="yes"," ",IF(C8="y"," ",IF(C8="no"," ",IF(C8="n"," ","ERROR - Enter yes or no!"))))</f>
        <v> </v>
      </c>
    </row>
    <row r="9" spans="1:4" ht="12.75">
      <c r="A9" s="84" t="s">
        <v>58</v>
      </c>
      <c r="B9" s="81" t="s">
        <v>55</v>
      </c>
      <c r="C9" s="93" t="s">
        <v>39</v>
      </c>
      <c r="D9" s="79" t="str">
        <f>IF(C9="yes"," ",IF(C9="y"," ",IF(C9="no"," ",IF(C9="n"," ","ERROR - Enter yes or no!"))))</f>
        <v> </v>
      </c>
    </row>
    <row r="10" spans="1:4" ht="12.75">
      <c r="A10" s="84" t="s">
        <v>59</v>
      </c>
      <c r="B10" s="70" t="s">
        <v>55</v>
      </c>
      <c r="C10" s="93" t="s">
        <v>39</v>
      </c>
      <c r="D10" s="79" t="str">
        <f>IF(C10="yes"," ",IF(C10="y"," ",IF(C10="no"," ",IF(C10="n"," ","ERROR - Enter yes or no!"))))</f>
        <v> </v>
      </c>
    </row>
    <row r="11" spans="1:4" ht="12.75">
      <c r="A11" s="84" t="s">
        <v>3</v>
      </c>
      <c r="B11" s="70" t="s">
        <v>31</v>
      </c>
      <c r="C11" s="93">
        <v>45</v>
      </c>
      <c r="D11" s="79">
        <f>IF(OR(C11&lt;10,C11&gt;100),"Enter A Value Between 10-100","")</f>
      </c>
    </row>
    <row r="12" spans="1:4" ht="12.75">
      <c r="A12" s="84" t="s">
        <v>60</v>
      </c>
      <c r="B12" s="70" t="s">
        <v>31</v>
      </c>
      <c r="C12" s="93">
        <v>180</v>
      </c>
      <c r="D12" s="79">
        <f>IF(OR(C12&lt;100,C12&gt;405),"Enter A Value between 100-405","")</f>
      </c>
    </row>
    <row r="13" spans="1:4" ht="12.75">
      <c r="A13" s="80"/>
      <c r="B13" s="81"/>
      <c r="C13" s="81"/>
      <c r="D13" s="79">
        <f>IF((C11&gt;=C12),"Total Cholesterol should exceed HDL","")</f>
      </c>
    </row>
    <row r="14" spans="1:4" ht="13.5" thickBot="1">
      <c r="A14" s="100" t="s">
        <v>56</v>
      </c>
      <c r="B14" s="101" t="s">
        <v>45</v>
      </c>
      <c r="C14" s="102">
        <f>Sheet2!E31</f>
        <v>0.01309508819972538</v>
      </c>
      <c r="D14" s="79"/>
    </row>
    <row r="15" spans="1:4" ht="13.5" thickBot="1">
      <c r="A15" s="100"/>
      <c r="B15" s="101"/>
      <c r="C15" s="102"/>
      <c r="D15" s="98" t="s">
        <v>57</v>
      </c>
    </row>
    <row r="16" spans="1:4" ht="39" customHeight="1" thickBot="1">
      <c r="A16" s="100"/>
      <c r="B16" s="101"/>
      <c r="C16" s="102"/>
      <c r="D16" s="98"/>
    </row>
    <row r="17" spans="1:4" ht="37.5" customHeight="1">
      <c r="A17" s="96" t="s">
        <v>71</v>
      </c>
      <c r="B17" s="86"/>
      <c r="C17" s="97">
        <f>Sheet3!E17</f>
        <v>29.99999999999991</v>
      </c>
      <c r="D17" s="87"/>
    </row>
    <row r="18" ht="12.75">
      <c r="A18" s="88"/>
    </row>
    <row r="29" ht="15">
      <c r="A29" s="85" t="s">
        <v>62</v>
      </c>
    </row>
  </sheetData>
  <sheetProtection/>
  <mergeCells count="5">
    <mergeCell ref="D15:D16"/>
    <mergeCell ref="C2:C3"/>
    <mergeCell ref="A14:A16"/>
    <mergeCell ref="B14:B16"/>
    <mergeCell ref="C14:C1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H1">
      <selection activeCell="O6" sqref="O6"/>
    </sheetView>
  </sheetViews>
  <sheetFormatPr defaultColWidth="9.140625" defaultRowHeight="12.75"/>
  <cols>
    <col min="1" max="1" width="8.140625" style="0" customWidth="1"/>
    <col min="2" max="2" width="15.140625" style="0" customWidth="1"/>
    <col min="3" max="3" width="16.140625" style="0" customWidth="1"/>
    <col min="4" max="4" width="19.00390625" style="0" customWidth="1"/>
    <col min="5" max="5" width="16.00390625" style="0" customWidth="1"/>
    <col min="6" max="6" width="21.421875" style="0" customWidth="1"/>
    <col min="7" max="7" width="18.57421875" style="0" customWidth="1"/>
    <col min="8" max="8" width="17.8515625" style="0" customWidth="1"/>
    <col min="9" max="9" width="14.57421875" style="0" customWidth="1"/>
    <col min="10" max="10" width="12.57421875" style="0" customWidth="1"/>
    <col min="11" max="11" width="14.140625" style="0" customWidth="1"/>
    <col min="12" max="12" width="15.28125" style="0" customWidth="1"/>
    <col min="13" max="13" width="14.28125" style="0" customWidth="1"/>
    <col min="14" max="14" width="14.7109375" style="0" customWidth="1"/>
    <col min="15" max="15" width="13.8515625" style="0" customWidth="1"/>
    <col min="16" max="17" width="15.00390625" style="0" customWidth="1"/>
    <col min="18" max="18" width="12.7109375" style="0" customWidth="1"/>
    <col min="19" max="19" width="14.421875" style="0" customWidth="1"/>
  </cols>
  <sheetData>
    <row r="1" spans="1:17" ht="12.75">
      <c r="A1" s="42"/>
      <c r="B1" s="56" t="s">
        <v>40</v>
      </c>
      <c r="C1" s="56" t="s">
        <v>16</v>
      </c>
      <c r="D1" s="56" t="s">
        <v>17</v>
      </c>
      <c r="E1" s="56" t="s">
        <v>18</v>
      </c>
      <c r="F1" s="56" t="s">
        <v>19</v>
      </c>
      <c r="G1" s="57" t="s">
        <v>20</v>
      </c>
      <c r="J1" s="43" t="s">
        <v>16</v>
      </c>
      <c r="K1" s="43" t="s">
        <v>23</v>
      </c>
      <c r="L1" s="43" t="s">
        <v>24</v>
      </c>
      <c r="O1" s="43" t="s">
        <v>16</v>
      </c>
      <c r="P1" s="43" t="s">
        <v>23</v>
      </c>
      <c r="Q1" s="43" t="s">
        <v>24</v>
      </c>
    </row>
    <row r="2" spans="1:15" ht="12.75">
      <c r="A2" s="16" t="s">
        <v>9</v>
      </c>
      <c r="B2" s="36" t="str">
        <f>Sheet_1!C5</f>
        <v>f</v>
      </c>
      <c r="C2" s="37">
        <f>IF(B2="m",1,IF(B2="f",0,ERROR))</f>
        <v>0</v>
      </c>
      <c r="D2" s="37"/>
      <c r="E2" s="37"/>
      <c r="F2" s="37"/>
      <c r="G2" s="38"/>
      <c r="J2">
        <f>C2</f>
        <v>0</v>
      </c>
      <c r="O2">
        <f>C2</f>
        <v>0</v>
      </c>
    </row>
    <row r="3" spans="1:15" ht="12.75">
      <c r="A3" s="16" t="s">
        <v>10</v>
      </c>
      <c r="B3" s="36">
        <f>Sheet_1!C6</f>
        <v>30</v>
      </c>
      <c r="C3" s="37">
        <f>LN(B3)</f>
        <v>3.4011973816621555</v>
      </c>
      <c r="D3" s="37">
        <v>3.06117</v>
      </c>
      <c r="E3" s="37"/>
      <c r="F3" s="37">
        <v>2.32888</v>
      </c>
      <c r="G3" s="38"/>
      <c r="J3">
        <f>C3</f>
        <v>3.4011973816621555</v>
      </c>
      <c r="O3">
        <f>C3</f>
        <v>3.4011973816621555</v>
      </c>
    </row>
    <row r="4" spans="1:15" ht="12.75">
      <c r="A4" s="16" t="s">
        <v>2</v>
      </c>
      <c r="B4" s="36">
        <f>Sheet_1!C7</f>
        <v>125</v>
      </c>
      <c r="C4" s="37">
        <f>LN(B4)</f>
        <v>4.8283137373023015</v>
      </c>
      <c r="D4" s="37">
        <v>1.93303</v>
      </c>
      <c r="E4" s="37">
        <v>1.99881</v>
      </c>
      <c r="F4" s="37">
        <v>2.76157</v>
      </c>
      <c r="G4" s="38">
        <v>2.82263</v>
      </c>
      <c r="J4">
        <f>LN(110)</f>
        <v>4.700480365792417</v>
      </c>
      <c r="O4">
        <f>LN(125)</f>
        <v>4.8283137373023015</v>
      </c>
    </row>
    <row r="5" spans="1:15" ht="12.75">
      <c r="A5" s="16" t="s">
        <v>15</v>
      </c>
      <c r="B5" s="36">
        <f>Sheet_1!C12</f>
        <v>180</v>
      </c>
      <c r="C5" s="37">
        <f>LN(B5)</f>
        <v>5.19295685089021</v>
      </c>
      <c r="D5" s="37">
        <v>1.1237</v>
      </c>
      <c r="E5" s="37"/>
      <c r="F5" s="37">
        <v>1.20904</v>
      </c>
      <c r="G5" s="38"/>
      <c r="I5" s="31"/>
      <c r="J5">
        <f>LN(160)</f>
        <v>5.075173815233827</v>
      </c>
      <c r="N5" s="31"/>
      <c r="O5">
        <f>LN(180)</f>
        <v>5.19295685089021</v>
      </c>
    </row>
    <row r="6" spans="1:15" ht="12.75">
      <c r="A6" s="16" t="s">
        <v>3</v>
      </c>
      <c r="B6" s="36">
        <f>Sheet_1!C11</f>
        <v>45</v>
      </c>
      <c r="C6" s="37">
        <f>LN(B6)</f>
        <v>3.8066624897703196</v>
      </c>
      <c r="D6" s="37">
        <v>-0.93263</v>
      </c>
      <c r="E6" s="37"/>
      <c r="F6" s="37">
        <v>-0.70833</v>
      </c>
      <c r="G6" s="38"/>
      <c r="J6">
        <f>LN(60)</f>
        <v>4.0943445622221</v>
      </c>
      <c r="O6">
        <f>LN(45)</f>
        <v>3.8066624897703196</v>
      </c>
    </row>
    <row r="7" spans="1:15" ht="12.75">
      <c r="A7" s="16" t="s">
        <v>11</v>
      </c>
      <c r="B7" s="36" t="str">
        <f>Sheet_1!C9</f>
        <v>n</v>
      </c>
      <c r="C7" s="37">
        <f>IF(B7="y",1,IF(B7="n",0,ERROR))</f>
        <v>0</v>
      </c>
      <c r="D7" s="37">
        <v>0.65451</v>
      </c>
      <c r="E7" s="37"/>
      <c r="F7" s="37">
        <v>0.52873</v>
      </c>
      <c r="G7" s="38"/>
      <c r="I7" s="31"/>
      <c r="J7">
        <v>0</v>
      </c>
      <c r="O7">
        <v>0</v>
      </c>
    </row>
    <row r="8" spans="1:15" ht="12.75">
      <c r="A8" s="16" t="s">
        <v>12</v>
      </c>
      <c r="B8" s="36" t="str">
        <f>Sheet_1!C8</f>
        <v>n</v>
      </c>
      <c r="C8" s="37">
        <f>IF(B8="y",1,IF(B8="n",0,ERROR))</f>
        <v>0</v>
      </c>
      <c r="D8" s="37"/>
      <c r="E8" s="37"/>
      <c r="F8" s="37"/>
      <c r="G8" s="38"/>
      <c r="J8">
        <v>0</v>
      </c>
      <c r="O8">
        <v>0</v>
      </c>
    </row>
    <row r="9" spans="1:15" ht="12.75">
      <c r="A9" s="19" t="s">
        <v>14</v>
      </c>
      <c r="B9" s="39" t="str">
        <f>Sheet_1!C10</f>
        <v>n</v>
      </c>
      <c r="C9" s="40">
        <f>IF(B9="y",1,IF(B9="n",0,ERROR))</f>
        <v>0</v>
      </c>
      <c r="D9" s="40">
        <v>0.57367</v>
      </c>
      <c r="E9" s="40"/>
      <c r="F9" s="40">
        <v>0.69154</v>
      </c>
      <c r="G9" s="41"/>
      <c r="J9">
        <v>0</v>
      </c>
      <c r="O9">
        <v>0</v>
      </c>
    </row>
    <row r="11" spans="3:17" ht="15">
      <c r="C11" s="32" t="s">
        <v>21</v>
      </c>
      <c r="D11" s="33">
        <f>C3*D3+C4*D4+C5*D5+C6*D6+C7*D7+C9*D9</f>
        <v>22.030036667951045</v>
      </c>
      <c r="E11" s="33">
        <f>C3*D3+C4*E4+C5*D5+C6*D6+C7*D7+C9*D9</f>
        <v>22.34764314559079</v>
      </c>
      <c r="F11" s="33">
        <f>C3*F3+C4*F4+C5*F5+C6*F6+C7*F7+C9*F9</f>
        <v>24.836826235348564</v>
      </c>
      <c r="G11" s="34">
        <f>C3*F3+C4*G4+C5*F5+C6*F6+C7*F7+C9*F9</f>
        <v>25.131643072148247</v>
      </c>
      <c r="I11" s="44" t="s">
        <v>38</v>
      </c>
      <c r="J11" s="33"/>
      <c r="K11" s="33">
        <f>D3*J3+D4*J4+D5*J5+D6*J6</f>
        <v>21.382277197423505</v>
      </c>
      <c r="L11" s="34">
        <f>F3*J3+F4*J4+F5*J5+F6*J6</f>
        <v>24.137627187778246</v>
      </c>
      <c r="N11" s="44" t="s">
        <v>37</v>
      </c>
      <c r="O11" s="33"/>
      <c r="P11" s="33">
        <f>D3*O3+D4*O4+D5*O5+D6*O6</f>
        <v>22.030036667951045</v>
      </c>
      <c r="Q11" s="34">
        <f>F3*O3+F4*O4+F5*O5+F6*O6</f>
        <v>24.836826235348564</v>
      </c>
    </row>
    <row r="12" ht="12.75">
      <c r="N12" s="31"/>
    </row>
    <row r="13" spans="3:17" ht="15">
      <c r="C13" s="35" t="s">
        <v>22</v>
      </c>
      <c r="D13" s="33">
        <f>1-POWER(0.88936,EXP(D11-23.9802))</f>
        <v>0.016541031859781286</v>
      </c>
      <c r="E13" s="33">
        <f>1-POWER(0.88936,EXP(E11-23.9802))</f>
        <v>0.022654152504833047</v>
      </c>
      <c r="F13" s="33">
        <f>1-POWER(0.95012,EXP(F11-26.1931))</f>
        <v>0.01309508819972538</v>
      </c>
      <c r="G13" s="34">
        <f>1-POWER(0.95012,EXP(G11-26.1931))</f>
        <v>0.017545543966781985</v>
      </c>
      <c r="I13" s="44" t="s">
        <v>25</v>
      </c>
      <c r="J13" s="33"/>
      <c r="K13" s="33">
        <f>1-POWER(0.88936,EXP(K11-23.9802))</f>
        <v>0.008688952618080448</v>
      </c>
      <c r="L13" s="34">
        <f>1-POWER(0.95012,EXP(L11-26.1931))</f>
        <v>0.00652961506881089</v>
      </c>
      <c r="N13" s="44" t="s">
        <v>26</v>
      </c>
      <c r="O13" s="33"/>
      <c r="P13" s="33">
        <f>1-POWER(0.88936,EXP(P11-23.9802))</f>
        <v>0.016541031859781286</v>
      </c>
      <c r="Q13" s="34">
        <f>1-POWER(0.95012,EXP(Q11-26.1931))</f>
        <v>0.01309508819972538</v>
      </c>
    </row>
    <row r="17" spans="1:17" ht="14.25" customHeight="1">
      <c r="A17" s="42"/>
      <c r="B17" s="56"/>
      <c r="C17" s="56"/>
      <c r="D17" s="56"/>
      <c r="E17" s="56"/>
      <c r="F17" s="56"/>
      <c r="G17" s="57"/>
      <c r="J17" s="43"/>
      <c r="K17" s="43"/>
      <c r="L17" s="43"/>
      <c r="N17" s="43"/>
      <c r="O17" s="43"/>
      <c r="P17" s="43"/>
      <c r="Q17" s="43"/>
    </row>
    <row r="18" spans="1:7" ht="12.75">
      <c r="A18" s="16"/>
      <c r="B18" s="36"/>
      <c r="C18" s="37"/>
      <c r="D18" s="37"/>
      <c r="E18" s="37"/>
      <c r="F18" s="37"/>
      <c r="G18" s="38"/>
    </row>
    <row r="19" spans="1:7" ht="12.75">
      <c r="A19" s="16"/>
      <c r="B19" s="36"/>
      <c r="C19" s="37"/>
      <c r="D19" s="37"/>
      <c r="E19" s="37"/>
      <c r="F19" s="37"/>
      <c r="G19" s="38"/>
    </row>
    <row r="20" spans="1:7" ht="12.75">
      <c r="A20" s="16"/>
      <c r="B20" s="36"/>
      <c r="C20" s="37"/>
      <c r="D20" s="37"/>
      <c r="E20" s="37"/>
      <c r="F20" s="37"/>
      <c r="G20" s="38"/>
    </row>
    <row r="21" spans="1:7" ht="12.75">
      <c r="A21" s="16"/>
      <c r="B21" s="36"/>
      <c r="C21" s="37"/>
      <c r="D21" s="37"/>
      <c r="E21" s="37"/>
      <c r="F21" s="37"/>
      <c r="G21" s="38"/>
    </row>
    <row r="22" spans="1:7" ht="12.75">
      <c r="A22" s="16"/>
      <c r="B22" s="36"/>
      <c r="C22" s="37"/>
      <c r="D22" s="37"/>
      <c r="E22" s="37"/>
      <c r="F22" s="37"/>
      <c r="G22" s="38"/>
    </row>
    <row r="23" spans="1:7" ht="12.75">
      <c r="A23" s="16"/>
      <c r="B23" s="36"/>
      <c r="C23" s="37"/>
      <c r="D23" s="37"/>
      <c r="E23" s="37"/>
      <c r="F23" s="37"/>
      <c r="G23" s="38"/>
    </row>
    <row r="24" spans="1:7" ht="12.75">
      <c r="A24" s="19"/>
      <c r="B24" s="39"/>
      <c r="C24" s="40"/>
      <c r="D24" s="40"/>
      <c r="E24" s="40"/>
      <c r="F24" s="40"/>
      <c r="G24" s="41"/>
    </row>
    <row r="26" spans="3:17" ht="14.25">
      <c r="C26" s="32"/>
      <c r="D26" s="33"/>
      <c r="E26" s="33"/>
      <c r="F26" s="33"/>
      <c r="G26" s="34"/>
      <c r="I26" s="44"/>
      <c r="J26" s="33"/>
      <c r="K26" s="33"/>
      <c r="L26" s="34"/>
      <c r="N26" s="44"/>
      <c r="O26" s="33"/>
      <c r="P26" s="33"/>
      <c r="Q26" s="34"/>
    </row>
    <row r="27" ht="12.75">
      <c r="N27" s="31"/>
    </row>
    <row r="28" spans="3:17" ht="15">
      <c r="C28" s="35"/>
      <c r="D28" s="33"/>
      <c r="E28" s="33"/>
      <c r="F28" s="33"/>
      <c r="G28" s="34"/>
      <c r="I28" s="44"/>
      <c r="J28" s="33"/>
      <c r="K28" s="33"/>
      <c r="L28" s="34"/>
      <c r="N28" s="44"/>
      <c r="O28" s="33"/>
      <c r="P28" s="33"/>
      <c r="Q28" s="34"/>
    </row>
    <row r="31" spans="3:9" ht="12.75">
      <c r="C31" s="55" t="s">
        <v>34</v>
      </c>
      <c r="D31" s="45">
        <f>IF(AND(C2=1,C8=0),D13,IF(AND(C2=1,C8=1),E13,IF(AND(C2=0,C8=0),F13,IF(AND(C2=0,C8=1),G13,ERROR))))</f>
        <v>0.01309508819972538</v>
      </c>
      <c r="E31">
        <f>IF(D31&gt;0.3,"risk&gt;30%",D31)</f>
        <v>0.01309508819972538</v>
      </c>
      <c r="G31" s="55"/>
      <c r="H31" s="45"/>
      <c r="I31">
        <f>IF(H31&gt;0.3,"risk&gt;30%",H31)</f>
        <v>0</v>
      </c>
    </row>
    <row r="32" spans="2:8" ht="12.75">
      <c r="B32" s="48" t="s">
        <v>27</v>
      </c>
      <c r="C32" s="55" t="s">
        <v>36</v>
      </c>
      <c r="D32" s="46">
        <f>IF(C2=1,K13,IF(C2=0,L13,ERROR))</f>
        <v>0.00652961506881089</v>
      </c>
      <c r="E32" s="37"/>
      <c r="F32" s="48"/>
      <c r="G32" s="55"/>
      <c r="H32" s="46"/>
    </row>
    <row r="33" spans="3:8" ht="12.75">
      <c r="C33" s="55" t="s">
        <v>35</v>
      </c>
      <c r="D33" s="47">
        <f>IF(C2=1,P13,IF(C2=0,Q13,ERROR))</f>
        <v>0.01309508819972538</v>
      </c>
      <c r="G33" s="55"/>
      <c r="H33" s="4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140625" style="0" customWidth="1"/>
    <col min="2" max="2" width="15.140625" style="0" customWidth="1"/>
    <col min="3" max="3" width="16.140625" style="0" customWidth="1"/>
    <col min="4" max="4" width="19.7109375" style="0" customWidth="1"/>
    <col min="5" max="5" width="18.00390625" style="0" customWidth="1"/>
    <col min="6" max="6" width="20.8515625" style="0" customWidth="1"/>
    <col min="7" max="7" width="18.8515625" style="0" customWidth="1"/>
  </cols>
  <sheetData>
    <row r="1" spans="1:7" ht="12.75">
      <c r="A1" s="42"/>
      <c r="B1" s="56" t="s">
        <v>40</v>
      </c>
      <c r="C1" s="56" t="s">
        <v>16</v>
      </c>
      <c r="D1" s="56" t="s">
        <v>17</v>
      </c>
      <c r="E1" s="56" t="s">
        <v>18</v>
      </c>
      <c r="F1" s="56" t="s">
        <v>19</v>
      </c>
      <c r="G1" s="57" t="s">
        <v>20</v>
      </c>
    </row>
    <row r="2" spans="1:7" ht="12.75">
      <c r="A2" s="16" t="s">
        <v>2</v>
      </c>
      <c r="B2" s="36">
        <v>125</v>
      </c>
      <c r="C2" s="37">
        <f>LN(B2)</f>
        <v>4.8283137373023015</v>
      </c>
      <c r="D2" s="37">
        <v>1.93303</v>
      </c>
      <c r="E2" s="37">
        <v>1.99881</v>
      </c>
      <c r="F2" s="37">
        <v>2.76157</v>
      </c>
      <c r="G2" s="38">
        <v>2.82263</v>
      </c>
    </row>
    <row r="3" spans="1:6" ht="12.75">
      <c r="A3" s="16" t="s">
        <v>15</v>
      </c>
      <c r="B3" s="36">
        <v>180</v>
      </c>
      <c r="C3" s="37">
        <f>LN(B3)</f>
        <v>5.19295685089021</v>
      </c>
      <c r="D3" s="37">
        <v>1.1237</v>
      </c>
      <c r="F3" s="37">
        <v>1.20904</v>
      </c>
    </row>
    <row r="4" spans="1:7" ht="12.75">
      <c r="A4" s="16" t="s">
        <v>3</v>
      </c>
      <c r="B4" s="36">
        <v>45</v>
      </c>
      <c r="C4" s="37">
        <f>LN(B4)</f>
        <v>3.8066624897703196</v>
      </c>
      <c r="D4" s="37">
        <v>-0.93263</v>
      </c>
      <c r="E4" s="37"/>
      <c r="F4" s="37">
        <v>-0.70833</v>
      </c>
      <c r="G4" s="38"/>
    </row>
    <row r="5" spans="1:7" ht="12.75">
      <c r="A5" s="16" t="s">
        <v>11</v>
      </c>
      <c r="B5" s="36" t="s">
        <v>39</v>
      </c>
      <c r="C5" s="37">
        <f>IF(B5="y",1,IF(B5="n",0,ERROR))</f>
        <v>0</v>
      </c>
      <c r="D5" s="37">
        <v>0.65451</v>
      </c>
      <c r="E5" s="37"/>
      <c r="F5" s="37">
        <v>0.52873</v>
      </c>
      <c r="G5" s="38"/>
    </row>
    <row r="6" spans="1:7" ht="12.75">
      <c r="A6" s="16" t="s">
        <v>12</v>
      </c>
      <c r="B6" s="36" t="s">
        <v>39</v>
      </c>
      <c r="C6" s="37">
        <f>IF(B6="y",1,IF(B6="n",0,ERROR))</f>
        <v>0</v>
      </c>
      <c r="D6" s="37"/>
      <c r="E6" s="37"/>
      <c r="F6" s="37"/>
      <c r="G6" s="38"/>
    </row>
    <row r="7" spans="1:7" ht="12.75">
      <c r="A7" s="19" t="s">
        <v>14</v>
      </c>
      <c r="B7" s="39" t="s">
        <v>39</v>
      </c>
      <c r="C7" s="40">
        <f>IF(B7="y",1,IF(B7="n",0,ERROR))</f>
        <v>0</v>
      </c>
      <c r="D7" s="40">
        <v>0.57367</v>
      </c>
      <c r="E7" s="40"/>
      <c r="F7" s="40">
        <v>0.69154</v>
      </c>
      <c r="G7" s="41"/>
    </row>
    <row r="8" spans="1:6" ht="12.75">
      <c r="A8" s="89" t="s">
        <v>63</v>
      </c>
      <c r="D8">
        <v>23.9802</v>
      </c>
      <c r="F8">
        <v>26.1931</v>
      </c>
    </row>
    <row r="9" spans="1:7" ht="12.75">
      <c r="A9" s="90"/>
      <c r="D9" s="33"/>
      <c r="E9" s="33"/>
      <c r="F9" s="33"/>
      <c r="G9" s="34"/>
    </row>
    <row r="10" spans="1:7" ht="14.25">
      <c r="A10" s="90"/>
      <c r="C10" s="32" t="s">
        <v>68</v>
      </c>
      <c r="D10">
        <f>EXP((-(D2*C2+D3*C3+D4*C4+D5*C5+D7*C7-D8)/3.06117))</f>
        <v>56.727668740535314</v>
      </c>
      <c r="E10">
        <f>EXP((-(E2*C2+D3*C3+D4*C4+D5*C5+D7*C7-D8)/3.06117))</f>
        <v>51.137024276350985</v>
      </c>
      <c r="F10">
        <f>EXP((-($F$2*$C$2+$F$3*$C$3+$F$4*$C$4+$F$5*$C$5+$F$7*$C$7-$F$8)/2.32888))</f>
        <v>53.70838123453569</v>
      </c>
      <c r="G10">
        <f>EXP((-($F$2*$C$2+$F$3*$C$3+$F$4*$C$4+$F$5*$C$5+$F$7*$C$7-$F$8)/2.32888))</f>
        <v>53.70838123453569</v>
      </c>
    </row>
    <row r="11" spans="1:7" ht="14.25">
      <c r="A11" s="90"/>
      <c r="C11" s="32" t="s">
        <v>69</v>
      </c>
      <c r="D11" s="33">
        <f>POWER((-LN(0.88936)),(1/3.06117))</f>
        <v>0.49648785370215437</v>
      </c>
      <c r="E11" s="33">
        <f>POWER((-LN(0.88936)),(1/3.06117))</f>
        <v>0.49648785370215437</v>
      </c>
      <c r="F11" s="33">
        <f>POWER((-LN(0.95012)),(1/2.32888))</f>
        <v>0.27903065508628055</v>
      </c>
      <c r="G11" s="34">
        <f>F11</f>
        <v>0.27903065508628055</v>
      </c>
    </row>
    <row r="12" spans="3:7" ht="14.25">
      <c r="C12" s="91" t="s">
        <v>64</v>
      </c>
      <c r="D12">
        <f>PRODUCT(D10,1/D11)</f>
        <v>114.25791853221556</v>
      </c>
      <c r="E12">
        <f>PRODUCT(D10,1/E11)</f>
        <v>114.25791853221556</v>
      </c>
      <c r="F12">
        <f>PRODUCT(F10,1/F11)</f>
        <v>192.48200961262927</v>
      </c>
      <c r="G12">
        <f>F12</f>
        <v>192.48200961262927</v>
      </c>
    </row>
    <row r="13" spans="3:7" ht="12.75">
      <c r="C13" s="31" t="s">
        <v>65</v>
      </c>
      <c r="D13">
        <f>PRODUCT(1,1/3.06117)</f>
        <v>0.32667248143683625</v>
      </c>
      <c r="E13">
        <f>PRODUCT(1,1/3.06117)</f>
        <v>0.32667248143683625</v>
      </c>
      <c r="F13">
        <f>PRODUCT(1,1/2.32888)</f>
        <v>0.42939095187386217</v>
      </c>
      <c r="G13">
        <f>F13</f>
        <v>0.42939095187386217</v>
      </c>
    </row>
    <row r="14" spans="3:7" ht="15">
      <c r="C14" s="35" t="s">
        <v>66</v>
      </c>
      <c r="D14">
        <f>POWER((-LN(1-Sheet2!D13)),D13)</f>
        <v>0.26256385890262274</v>
      </c>
      <c r="E14">
        <f>POWER((-LN(1-Sheet2!E13)),E13)</f>
        <v>0.2912691112132792</v>
      </c>
      <c r="F14">
        <f>POWER((-LN(1-Sheet2!F13)),F13)</f>
        <v>0.1558587218637992</v>
      </c>
      <c r="G14">
        <f>POWER((-LN(1-Sheet2!G13)),F13)</f>
        <v>0.176892402106093</v>
      </c>
    </row>
    <row r="15" spans="3:7" ht="12.75">
      <c r="C15" s="31" t="s">
        <v>67</v>
      </c>
      <c r="D15">
        <f>PRODUCT(D12,D14)</f>
        <v>30.000000000000007</v>
      </c>
      <c r="E15">
        <f>PRODUCT(E12,E14)</f>
        <v>33.27980237995769</v>
      </c>
      <c r="F15">
        <f>PRODUCT(F12,F14)</f>
        <v>29.99999999999991</v>
      </c>
      <c r="G15">
        <f>PRODUCT(G12,G14)</f>
        <v>34.048605042586075</v>
      </c>
    </row>
    <row r="16" ht="12.75">
      <c r="C16" s="31"/>
    </row>
    <row r="17" spans="3:5" ht="12.75">
      <c r="C17" s="31" t="s">
        <v>70</v>
      </c>
      <c r="D17">
        <f>IF(AND(Sheet2!C2=1,Sheet2!C8=0),D15,IF(AND(Sheet2!C2=1,Sheet2!C8=1),E15,IF(AND(Sheet2!C2=0,Sheet2!C8=0),F15,IF(AND(Sheet2!C2=0,Sheet2!C8=1),G15,ERROR))))</f>
        <v>29.99999999999991</v>
      </c>
      <c r="E17">
        <f>IF(D17&gt;85,"&gt;85",D17)</f>
        <v>29.99999999999991</v>
      </c>
    </row>
    <row r="18" ht="12.75">
      <c r="C18" s="31"/>
    </row>
    <row r="20" spans="1:7" ht="12.75">
      <c r="A20" s="42"/>
      <c r="B20" s="56"/>
      <c r="C20" s="56"/>
      <c r="D20" s="56"/>
      <c r="E20" s="56"/>
      <c r="F20" s="56"/>
      <c r="G20" s="57"/>
    </row>
    <row r="21" spans="1:7" ht="12.75">
      <c r="A21" s="42"/>
      <c r="B21" s="56"/>
      <c r="C21" s="56"/>
      <c r="D21" s="56"/>
      <c r="E21" s="56"/>
      <c r="F21" s="56"/>
      <c r="G21" s="57"/>
    </row>
    <row r="22" spans="1:3" ht="12.75">
      <c r="A22" s="16"/>
      <c r="B22" s="36"/>
      <c r="C22" s="37"/>
    </row>
    <row r="23" spans="1:3" ht="12.75">
      <c r="A23" s="16"/>
      <c r="B23" s="36"/>
      <c r="C23" s="37"/>
    </row>
    <row r="24" spans="1:3" ht="12.75">
      <c r="A24" s="16"/>
      <c r="B24" s="36"/>
      <c r="C24" s="37"/>
    </row>
    <row r="25" spans="1:3" ht="12.75">
      <c r="A25" s="16"/>
      <c r="B25" s="94"/>
      <c r="C25" s="37"/>
    </row>
    <row r="26" spans="1:3" ht="12.75">
      <c r="A26" s="16"/>
      <c r="B26" s="94"/>
      <c r="C26" s="37"/>
    </row>
    <row r="27" spans="1:3" ht="12.75">
      <c r="A27" s="16"/>
      <c r="B27" s="36"/>
      <c r="C27" s="37"/>
    </row>
    <row r="28" spans="1:3" ht="12.75">
      <c r="A28" s="19"/>
      <c r="B28" s="95"/>
      <c r="C28" s="40"/>
    </row>
    <row r="29" ht="12.75">
      <c r="A29" s="89"/>
    </row>
    <row r="30" ht="14.25">
      <c r="C30" s="32"/>
    </row>
    <row r="31" spans="3:7" ht="14.25">
      <c r="C31" s="32"/>
      <c r="D31" s="33"/>
      <c r="E31" s="33"/>
      <c r="F31" s="33"/>
      <c r="G31" s="34"/>
    </row>
    <row r="32" ht="14.25">
      <c r="C32" s="91"/>
    </row>
    <row r="33" ht="12.75">
      <c r="C33" s="31"/>
    </row>
    <row r="34" ht="15">
      <c r="C34" s="35"/>
    </row>
    <row r="35" ht="12.75">
      <c r="C35" s="31"/>
    </row>
    <row r="36" spans="2:3" ht="12.75">
      <c r="B36" s="48"/>
      <c r="C36" s="31"/>
    </row>
    <row r="37" ht="12.75">
      <c r="C37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&amp; Consulting Unit - Boston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Pencina</dc:creator>
  <cp:keywords/>
  <dc:description/>
  <cp:lastModifiedBy>martin</cp:lastModifiedBy>
  <dcterms:created xsi:type="dcterms:W3CDTF">2009-02-02T18:28:36Z</dcterms:created>
  <dcterms:modified xsi:type="dcterms:W3CDTF">2019-03-25T19:10:31Z</dcterms:modified>
  <cp:category/>
  <cp:version/>
  <cp:contentType/>
  <cp:contentStatus/>
</cp:coreProperties>
</file>